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8RR0\"/>
    </mc:Choice>
  </mc:AlternateContent>
  <bookViews>
    <workbookView xWindow="0" yWindow="0" windowWidth="19305" windowHeight="8085"/>
  </bookViews>
  <sheets>
    <sheet name="CT8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X23" i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P17" i="1" l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6" i="1"/>
  <c r="N2" i="1"/>
  <c r="N17" i="1"/>
  <c r="N16" i="1"/>
  <c r="N15" i="1"/>
  <c r="N14" i="1"/>
  <c r="N13" i="1"/>
  <c r="N12" i="1"/>
  <c r="N11" i="1"/>
  <c r="N10" i="1"/>
  <c r="N9" i="1"/>
  <c r="N8" i="1"/>
  <c r="N7" i="1"/>
  <c r="N5" i="1"/>
  <c r="N4" i="1"/>
  <c r="N3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I2" i="1"/>
  <c r="AA2" i="1"/>
  <c r="AA16" i="1" l="1"/>
  <c r="AA15" i="1"/>
  <c r="AA14" i="1"/>
  <c r="AA13" i="1"/>
  <c r="AA12" i="1"/>
  <c r="AA11" i="1"/>
  <c r="AA10" i="1"/>
  <c r="AE9" i="1"/>
  <c r="AB11" i="1" s="1"/>
  <c r="AA9" i="1"/>
  <c r="AA8" i="1"/>
  <c r="AA7" i="1"/>
  <c r="AA6" i="1"/>
  <c r="AB6" i="1" s="1"/>
  <c r="AA5" i="1"/>
  <c r="AA4" i="1"/>
  <c r="AE3" i="1"/>
  <c r="K2" i="1" s="1"/>
  <c r="AA3" i="1"/>
  <c r="AB3" i="1" s="1"/>
  <c r="AB9" i="1" l="1"/>
  <c r="AB16" i="1"/>
  <c r="AB2" i="1"/>
  <c r="AB15" i="1"/>
  <c r="AB4" i="1"/>
  <c r="AB7" i="1"/>
  <c r="AB10" i="1"/>
  <c r="AB13" i="1"/>
  <c r="AB5" i="1"/>
  <c r="AB8" i="1"/>
  <c r="AB14" i="1"/>
  <c r="AB1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M2" i="1" s="1"/>
  <c r="O2" i="1" l="1"/>
  <c r="Q2" i="1"/>
  <c r="X2" i="1"/>
  <c r="AC2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K16" i="1" l="1"/>
  <c r="M16" i="1" s="1"/>
  <c r="K12" i="1"/>
  <c r="M12" i="1" s="1"/>
  <c r="K15" i="1"/>
  <c r="M15" i="1" s="1"/>
  <c r="K3" i="1"/>
  <c r="M3" i="1" s="1"/>
  <c r="K14" i="1"/>
  <c r="M14" i="1" s="1"/>
  <c r="K17" i="1"/>
  <c r="M17" i="1" s="1"/>
  <c r="K13" i="1"/>
  <c r="M13" i="1" s="1"/>
  <c r="K5" i="1"/>
  <c r="M5" i="1" s="1"/>
  <c r="X16" i="1" l="1"/>
  <c r="O16" i="1"/>
  <c r="Q16" i="1" s="1"/>
  <c r="O14" i="1"/>
  <c r="Q14" i="1" s="1"/>
  <c r="X14" i="1"/>
  <c r="AC14" i="1" s="1"/>
  <c r="O5" i="1"/>
  <c r="Q5" i="1"/>
  <c r="X5" i="1"/>
  <c r="O3" i="1"/>
  <c r="Q3" i="1" s="1"/>
  <c r="X3" i="1"/>
  <c r="AC3" i="1" s="1"/>
  <c r="O13" i="1"/>
  <c r="Q13" i="1" s="1"/>
  <c r="X13" i="1"/>
  <c r="AC13" i="1" s="1"/>
  <c r="O15" i="1"/>
  <c r="Q15" i="1" s="1"/>
  <c r="X15" i="1"/>
  <c r="AC15" i="1" s="1"/>
  <c r="O17" i="1"/>
  <c r="Q17" i="1"/>
  <c r="X17" i="1"/>
  <c r="O12" i="1"/>
  <c r="Q12" i="1" s="1"/>
  <c r="X12" i="1"/>
  <c r="AC12" i="1" s="1"/>
  <c r="AC5" i="1"/>
  <c r="AC16" i="1"/>
  <c r="K6" i="1"/>
  <c r="M6" i="1" s="1"/>
  <c r="K7" i="1"/>
  <c r="M7" i="1" s="1"/>
  <c r="K4" i="1"/>
  <c r="M4" i="1" s="1"/>
  <c r="K9" i="1"/>
  <c r="M9" i="1" s="1"/>
  <c r="K10" i="1"/>
  <c r="M10" i="1" s="1"/>
  <c r="K11" i="1"/>
  <c r="M11" i="1" s="1"/>
  <c r="K8" i="1"/>
  <c r="M8" i="1" s="1"/>
  <c r="O10" i="1" l="1"/>
  <c r="Q10" i="1"/>
  <c r="X10" i="1"/>
  <c r="O9" i="1"/>
  <c r="Q9" i="1" s="1"/>
  <c r="X9" i="1"/>
  <c r="AC9" i="1" s="1"/>
  <c r="O6" i="1"/>
  <c r="Q6" i="1" s="1"/>
  <c r="X6" i="1"/>
  <c r="AC6" i="1" s="1"/>
  <c r="X8" i="1"/>
  <c r="O8" i="1"/>
  <c r="Q8" i="1" s="1"/>
  <c r="O4" i="1"/>
  <c r="Q4" i="1"/>
  <c r="X4" i="1"/>
  <c r="O11" i="1"/>
  <c r="Q11" i="1" s="1"/>
  <c r="X11" i="1"/>
  <c r="O7" i="1"/>
  <c r="Q7" i="1"/>
  <c r="X7" i="1"/>
  <c r="AC11" i="1"/>
  <c r="AC7" i="1"/>
  <c r="AC10" i="1"/>
  <c r="AC8" i="1"/>
  <c r="AC4" i="1"/>
  <c r="AC23" i="1" l="1"/>
</calcChain>
</file>

<file path=xl/sharedStrings.xml><?xml version="1.0" encoding="utf-8"?>
<sst xmlns="http://schemas.openxmlformats.org/spreadsheetml/2006/main" count="49" uniqueCount="49">
  <si>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</si>
  <si>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</si>
  <si>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</si>
  <si>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</si>
  <si>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</si>
  <si>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</si>
  <si>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</si>
  <si>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</si>
  <si>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</si>
  <si>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</si>
  <si>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CT8R 1 mL</t>
  </si>
  <si>
    <t>CT8R 2 mL</t>
  </si>
  <si>
    <t>CT8R 3 mL</t>
  </si>
  <si>
    <t>CT8R 4 mL</t>
  </si>
  <si>
    <t>CT8R 5 mL</t>
  </si>
  <si>
    <t>CT8R 6 mL</t>
  </si>
  <si>
    <t>CT8R 7 mL</t>
  </si>
  <si>
    <t>CT8R 8 mL</t>
  </si>
  <si>
    <t>CT8R 9 mL</t>
  </si>
  <si>
    <t>CT8R 10 mL</t>
  </si>
  <si>
    <t>CT8R 11 mL</t>
  </si>
  <si>
    <t>CT8R 12 mL</t>
  </si>
  <si>
    <t>CT8R 13 mL</t>
  </si>
  <si>
    <t>CT8R 14 mL</t>
  </si>
  <si>
    <t>CT8R 15 mL</t>
  </si>
  <si>
    <t>CT8R blk</t>
  </si>
  <si>
    <t>Time from 05.06.2018</t>
  </si>
  <si>
    <t>DC factor</t>
  </si>
  <si>
    <t>DC to 05.06.2018</t>
  </si>
  <si>
    <t>Decay constant of sr-90=</t>
  </si>
  <si>
    <t>Weight of Eluate (g)</t>
  </si>
  <si>
    <t>Weight of Eluate (g) σ</t>
  </si>
  <si>
    <t>Weight Corrected Sr-90 Activity (DPM)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</si>
  <si>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</si>
  <si>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</si>
  <si>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</si>
  <si>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</si>
  <si>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</si>
  <si>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</si>
  <si>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</si>
  <si>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</si>
  <si>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</si>
  <si>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</si>
  <si>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</si>
  <si>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</si>
  <si>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</si>
  <si>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</si>
  <si>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Sr-90 activity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</si>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</sst>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0" borderId="1" xfId="0" applyBorder="1"/>
    <xf numFmtId="0" fontId="0" fillId="3" borderId="1" xfId="0" applyFill="1" applyBorder="1"/>
    <xf numFmtId="0" fontId="0" fillId="3" borderId="2" xfId="0" applyFill="1" applyBorder="1"/>
    <xf numFmtId="2" fontId="0" fillId="3" borderId="0" xfId="0" applyNumberFormat="1" applyFill="1"/>
    <xf numFmtId="0" fontId="0" fillId="3" borderId="0" xfId="0" applyFill="1"/>
    <xf numFmtId="166" fontId="0" fillId="3" borderId="2" xfId="0" applyNumberFormat="1" applyFill="1" applyBorder="1"/>
    <xf numFmtId="166" fontId="0" fillId="3" borderId="3" xfId="0" applyNumberFormat="1" applyFill="1" applyBorder="1"/>
    <xf numFmtId="0" fontId="0" fillId="3" borderId="3" xfId="0" applyFill="1" applyBorder="1"/>
    <xf numFmtId="0" fontId="0" fillId="0" borderId="2" xfId="0" applyBorder="1"/>
    <xf numFmtId="0" fontId="0" fillId="0" borderId="3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S1" workbookViewId="0">
      <selection activeCell="Y24" sqref="Y24"/>
    </sheetView>
  </sheetViews>
  <sheetFormatPr defaultRowHeight="15" x14ac:dyDescent="0.25"/>
  <cols>
    <col min="1" max="1" width="13.5703125" bestFit="1" customWidth="1"/>
    <col min="2" max="3" width="15.85546875" bestFit="1" customWidth="1"/>
    <col min="4" max="4" width="22.140625" bestFit="1" customWidth="1"/>
    <col min="5" max="5" width="20" style="10" bestFit="1" customWidth="1"/>
    <col min="6" max="6" width="18" style="10" bestFit="1" customWidth="1"/>
    <col min="7" max="7" width="31.5703125" bestFit="1" customWidth="1"/>
    <col min="8" max="8" width="27.42578125" bestFit="1" customWidth="1"/>
    <col min="9" max="9" width="17.7109375" bestFit="1" customWidth="1"/>
    <col min="10" max="10" width="19.28515625" bestFit="1" customWidth="1"/>
    <col min="11" max="11" width="14.7109375" bestFit="1" customWidth="1"/>
    <col min="12" max="12" width="16.28515625" bestFit="1" customWidth="1"/>
    <col min="13" max="13" width="12.140625" bestFit="1" customWidth="1"/>
    <col min="14" max="14" width="13.85546875" bestFit="1" customWidth="1"/>
    <col min="15" max="15" width="12" bestFit="1" customWidth="1"/>
    <col min="16" max="16" width="13.140625" bestFit="1" customWidth="1"/>
    <col min="17" max="17" width="10" bestFit="1" customWidth="1"/>
    <col min="18" max="18" width="18.85546875" bestFit="1" customWidth="1"/>
    <col min="19" max="19" width="20.42578125" style="10" bestFit="1" customWidth="1"/>
    <col min="20" max="20" width="35.42578125" bestFit="1" customWidth="1"/>
    <col min="21" max="21" width="37" bestFit="1" customWidth="1"/>
    <col min="22" max="22" width="25.140625" bestFit="1" customWidth="1"/>
    <col min="23" max="23" width="26.42578125" bestFit="1" customWidth="1"/>
    <col min="24" max="24" width="12" bestFit="1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1" max="31" width="22.7109375" bestFit="1" customWidth="1"/>
  </cols>
  <sheetData>
    <row r="1" spans="1:31" ht="15.75" thickBot="1" x14ac:dyDescent="0.3">
      <c r="A1" t="s">
        <v>2</v>
      </c>
      <c r="B1" t="s">
        <v>4</v>
      </c>
      <c r="C1" t="s">
        <v>3</v>
      </c>
      <c r="D1" t="s">
        <v>39</v>
      </c>
      <c r="E1" s="7" t="s">
        <v>40</v>
      </c>
      <c r="F1" s="7" t="s">
        <v>41</v>
      </c>
      <c r="G1" t="s">
        <v>9</v>
      </c>
      <c r="H1" s="7" t="s">
        <v>42</v>
      </c>
      <c r="I1" t="s">
        <v>0</v>
      </c>
      <c r="J1" s="7" t="s">
        <v>43</v>
      </c>
      <c r="K1" t="s">
        <v>5</v>
      </c>
      <c r="L1" s="7" t="s">
        <v>44</v>
      </c>
      <c r="M1" t="s">
        <v>6</v>
      </c>
      <c r="N1" s="7" t="s">
        <v>45</v>
      </c>
      <c r="O1" t="s">
        <v>7</v>
      </c>
      <c r="P1" s="7" t="s">
        <v>46</v>
      </c>
      <c r="Q1" t="s">
        <v>8</v>
      </c>
      <c r="R1" s="6" t="s">
        <v>30</v>
      </c>
      <c r="S1" s="7" t="s">
        <v>31</v>
      </c>
      <c r="T1" s="6" t="s">
        <v>32</v>
      </c>
      <c r="U1" s="7" t="s">
        <v>33</v>
      </c>
      <c r="V1" s="6" t="s">
        <v>34</v>
      </c>
      <c r="W1" s="7" t="s">
        <v>35</v>
      </c>
      <c r="X1" s="6" t="s">
        <v>36</v>
      </c>
      <c r="Y1" s="7" t="s">
        <v>37</v>
      </c>
      <c r="Z1" s="7" t="s">
        <v>38</v>
      </c>
      <c r="AA1" t="s">
        <v>26</v>
      </c>
      <c r="AB1" t="s">
        <v>27</v>
      </c>
      <c r="AC1" t="s">
        <v>28</v>
      </c>
    </row>
    <row r="2" spans="1:31" x14ac:dyDescent="0.25">
      <c r="A2" t="s">
        <v>10</v>
      </c>
      <c r="B2" s="1">
        <v>43258.625</v>
      </c>
      <c r="C2" s="1">
        <v>43299.531944444447</v>
      </c>
      <c r="D2" s="4">
        <v>8.32</v>
      </c>
      <c r="E2" s="9">
        <v>6.4</v>
      </c>
      <c r="F2" s="8">
        <f>D2*(E2/100)</f>
        <v>0.53248000000000006</v>
      </c>
      <c r="G2">
        <f>D2-$D$17</f>
        <v>1.6000000000000005</v>
      </c>
      <c r="H2" s="8">
        <f>SQRT((F2^2)+(F$17^2))</f>
        <v>0.71586503595021322</v>
      </c>
      <c r="I2" s="2">
        <f>(C2-B2)*24</f>
        <v>981.76666666672099</v>
      </c>
      <c r="J2" s="11">
        <f>1/60</f>
        <v>1.6666666666666666E-2</v>
      </c>
      <c r="K2" s="3">
        <f>1-EXP(-$AE$3*I2)</f>
        <v>0.99998463172383212</v>
      </c>
      <c r="L2" s="8">
        <f>K2*SQRT(((J2/I2)^2))</f>
        <v>1.6975938473564268E-5</v>
      </c>
      <c r="M2">
        <f>G2/((1+K2))</f>
        <v>0.80000614735770459</v>
      </c>
      <c r="N2" s="8">
        <f>M2*SQRT(((H2/G2)^2)+((L2/K2)^2))</f>
        <v>0.35793526865678588</v>
      </c>
      <c r="O2">
        <f>M2*K2</f>
        <v>0.79999385264229594</v>
      </c>
      <c r="P2" s="8">
        <f>O2*SQRT(((N2/M2)^2)+((L2/K2)^2))</f>
        <v>0.35792976806637472</v>
      </c>
      <c r="Q2">
        <f>M2+O2</f>
        <v>1.6000000000000005</v>
      </c>
      <c r="R2">
        <v>1.1928999999999998</v>
      </c>
      <c r="S2" s="10">
        <v>1.4142135623730951E-4</v>
      </c>
      <c r="T2" s="14">
        <f>M2/R2</f>
        <v>0.67063974126725179</v>
      </c>
      <c r="U2" s="8">
        <f>T2*SQRT(((S2/R2)^2)+((N2/M2)^2))</f>
        <v>0.30005472480687473</v>
      </c>
      <c r="V2" s="14">
        <f>SUM($T$2:T2)</f>
        <v>0.67063974126725179</v>
      </c>
      <c r="W2" s="8">
        <f>SQRT((U2^2))</f>
        <v>0.30005472480687473</v>
      </c>
      <c r="X2">
        <f>M2/60</f>
        <v>1.3333435789295077E-2</v>
      </c>
      <c r="Y2" s="8">
        <f>X2*SQRT(((N2/M2)^2))</f>
        <v>5.9655878109464312E-3</v>
      </c>
      <c r="Z2" s="8">
        <f>Y2^2</f>
        <v>3.5588237930112629E-5</v>
      </c>
      <c r="AA2">
        <f>(C2-$AE$6)*24</f>
        <v>1032.766666666721</v>
      </c>
      <c r="AB2" s="3">
        <f>EXP(-$AE$9*AA2)</f>
        <v>0.9971665531103201</v>
      </c>
      <c r="AC2">
        <f>X2/AB2</f>
        <v>1.337132272207284E-2</v>
      </c>
      <c r="AE2" t="s">
        <v>1</v>
      </c>
    </row>
    <row r="3" spans="1:31" x14ac:dyDescent="0.25">
      <c r="A3" t="s">
        <v>11</v>
      </c>
      <c r="B3" s="1">
        <v>43258.625</v>
      </c>
      <c r="C3" s="1">
        <v>43299.554166666669</v>
      </c>
      <c r="D3" s="4">
        <v>7.36</v>
      </c>
      <c r="E3" s="9">
        <v>6.8</v>
      </c>
      <c r="F3" s="8">
        <f t="shared" ref="F3:F17" si="0">D3*(E3/100)</f>
        <v>0.50048000000000004</v>
      </c>
      <c r="G3">
        <f t="shared" ref="G3:G17" si="1">D3-$D$17</f>
        <v>0.64000000000000057</v>
      </c>
      <c r="H3" s="8">
        <f t="shared" ref="H3:H17" si="2">SQRT((F3^2)+(F$17^2))</f>
        <v>0.69239297345943662</v>
      </c>
      <c r="I3" s="2">
        <f t="shared" ref="I3:I17" si="3">(C3-B3)*24</f>
        <v>982.30000000004657</v>
      </c>
      <c r="J3" s="12">
        <f t="shared" ref="J3:J17" si="4">1/60</f>
        <v>1.6666666666666666E-2</v>
      </c>
      <c r="K3" s="3">
        <f>1-EXP(-$AE$3*I3)</f>
        <v>0.99998472397549965</v>
      </c>
      <c r="L3" s="13">
        <f t="shared" ref="L3:L17" si="5">K3*SQRT(((J3/I3)^2))</f>
        <v>1.6966723064499175E-5</v>
      </c>
      <c r="M3">
        <f>G3/((1+K3))</f>
        <v>0.32000244418258905</v>
      </c>
      <c r="N3" s="13">
        <f>M3*SQRT(((H3/G3)^2)+((L3/K3)^2))</f>
        <v>0.34619913104549738</v>
      </c>
      <c r="O3">
        <f>M3*K3</f>
        <v>0.31999755581741157</v>
      </c>
      <c r="P3" s="13">
        <f>O3*SQRT(((N3/M3)^2)+((L3/K3)^2))</f>
        <v>0.34619384254166441</v>
      </c>
      <c r="Q3">
        <f t="shared" ref="Q3:Q17" si="6">M3+O3</f>
        <v>0.64000000000000057</v>
      </c>
      <c r="R3">
        <v>1.0841000000000003</v>
      </c>
      <c r="S3" s="10">
        <v>1.4142135623730951E-4</v>
      </c>
      <c r="T3" s="15">
        <f>M3/R3</f>
        <v>0.29517797636988191</v>
      </c>
      <c r="U3" s="13">
        <f t="shared" ref="U3:U16" si="7">T3*SQRT(((S3/R3)^2)+((N3/M3)^2))</f>
        <v>0.31934243479592112</v>
      </c>
      <c r="V3" s="15">
        <f>SUM($T$2:T3)</f>
        <v>0.96581771763713364</v>
      </c>
      <c r="W3" s="13">
        <f>SQRT((U3^2)+(U2^2))</f>
        <v>0.43819222784106576</v>
      </c>
      <c r="X3">
        <f t="shared" ref="X3:X17" si="8">M3/60</f>
        <v>5.3333740697098179E-3</v>
      </c>
      <c r="Y3" s="13">
        <f t="shared" ref="Y3:Y16" si="9">X3*SQRT(((N3/M3)^2))</f>
        <v>5.7699855174249571E-3</v>
      </c>
      <c r="Z3" s="8">
        <f t="shared" ref="Z3:Z16" si="10">Y3^2</f>
        <v>3.3292732871293748E-5</v>
      </c>
      <c r="AA3">
        <f>(C3-$AE$6)*24</f>
        <v>1033.3000000000466</v>
      </c>
      <c r="AB3" s="3">
        <f t="shared" ref="AB3:AB16" si="11">EXP(-$AE$9*AA3)</f>
        <v>0.99716509195972303</v>
      </c>
      <c r="AC3">
        <f t="shared" ref="AC3:AC16" si="12">X3/AB3</f>
        <v>5.3485366793458115E-3</v>
      </c>
      <c r="AE3">
        <f>LN(2)/61.4</f>
        <v>1.1289042028663604E-2</v>
      </c>
    </row>
    <row r="4" spans="1:31" x14ac:dyDescent="0.25">
      <c r="A4" t="s">
        <v>12</v>
      </c>
      <c r="B4" s="1">
        <v>43258.625</v>
      </c>
      <c r="C4" s="1">
        <v>43299.57708333333</v>
      </c>
      <c r="D4" s="4">
        <v>7.98</v>
      </c>
      <c r="E4" s="9">
        <v>6.54</v>
      </c>
      <c r="F4" s="8">
        <f t="shared" si="0"/>
        <v>0.52189200000000002</v>
      </c>
      <c r="G4">
        <f t="shared" ref="G4:G16" si="13">D4-$D$17</f>
        <v>1.2600000000000007</v>
      </c>
      <c r="H4" s="8">
        <f t="shared" si="2"/>
        <v>0.70802475871963677</v>
      </c>
      <c r="I4" s="2">
        <f t="shared" si="3"/>
        <v>982.84999999991851</v>
      </c>
      <c r="J4" s="12">
        <f t="shared" si="4"/>
        <v>1.6666666666666666E-2</v>
      </c>
      <c r="K4" s="3">
        <f>1-EXP(-$AE$3*I4)</f>
        <v>0.99998481853007792</v>
      </c>
      <c r="L4" s="13">
        <f t="shared" si="5"/>
        <v>1.6957230139054126E-5</v>
      </c>
      <c r="M4">
        <f>G4/((1+K4))</f>
        <v>0.63000478219932621</v>
      </c>
      <c r="N4" s="13">
        <f>M4*SQRT(((H4/G4)^2)+((L4/K4)^2))</f>
        <v>0.35401506675555888</v>
      </c>
      <c r="O4">
        <f>M4*K4</f>
        <v>0.62999521780067447</v>
      </c>
      <c r="P4" s="13">
        <f>O4*SQRT(((N4/M4)^2)+((L4/K4)^2))</f>
        <v>0.35400969244766622</v>
      </c>
      <c r="Q4">
        <f t="shared" si="6"/>
        <v>1.2600000000000007</v>
      </c>
      <c r="R4">
        <v>1.1777999999999995</v>
      </c>
      <c r="S4" s="10">
        <v>1.4142135623730951E-4</v>
      </c>
      <c r="T4" s="15">
        <f>M4/R4</f>
        <v>0.53489962828946036</v>
      </c>
      <c r="U4" s="13">
        <f t="shared" si="7"/>
        <v>0.30057316593448236</v>
      </c>
      <c r="V4" s="15">
        <f>SUM($T$2:T4)</f>
        <v>1.5007173459265939</v>
      </c>
      <c r="W4" s="13">
        <f>SQRT((U4^2)+(U3^2)+(U2^2))</f>
        <v>0.53137242741809099</v>
      </c>
      <c r="X4">
        <f t="shared" si="8"/>
        <v>1.0500079703322103E-2</v>
      </c>
      <c r="Y4" s="13">
        <f t="shared" si="9"/>
        <v>5.9002511125926475E-3</v>
      </c>
      <c r="Z4" s="8">
        <f t="shared" si="10"/>
        <v>3.4812963191650771E-5</v>
      </c>
      <c r="AA4">
        <f>(C4-$AE$6)*24</f>
        <v>1033.8499999999185</v>
      </c>
      <c r="AB4" s="3">
        <f t="shared" si="11"/>
        <v>0.99716358515041259</v>
      </c>
      <c r="AC4">
        <f t="shared" si="12"/>
        <v>1.0529947001362134E-2</v>
      </c>
    </row>
    <row r="5" spans="1:31" x14ac:dyDescent="0.25">
      <c r="A5" t="s">
        <v>13</v>
      </c>
      <c r="B5" s="1">
        <v>43258.625</v>
      </c>
      <c r="C5" s="1">
        <v>43299.6</v>
      </c>
      <c r="D5" s="4">
        <v>8.52</v>
      </c>
      <c r="E5" s="9">
        <v>6.32</v>
      </c>
      <c r="F5" s="8">
        <f t="shared" si="0"/>
        <v>0.53846400000000005</v>
      </c>
      <c r="G5">
        <f t="shared" si="13"/>
        <v>1.7999999999999998</v>
      </c>
      <c r="H5" s="8">
        <f t="shared" si="2"/>
        <v>0.72032720245177473</v>
      </c>
      <c r="I5" s="2">
        <f t="shared" si="3"/>
        <v>983.39999999996508</v>
      </c>
      <c r="J5" s="12">
        <f t="shared" si="4"/>
        <v>1.6666666666666666E-2</v>
      </c>
      <c r="K5" s="3">
        <f>1-EXP(-$AE$3*I5)</f>
        <v>0.99998491249938815</v>
      </c>
      <c r="L5" s="13">
        <f t="shared" si="5"/>
        <v>1.694774782217178E-5</v>
      </c>
      <c r="M5">
        <f>G5/((1+K5))</f>
        <v>0.90000678942649304</v>
      </c>
      <c r="N5" s="13">
        <f>M5*SQRT(((H5/G5)^2)+((L5/K5)^2))</f>
        <v>0.36016631855365555</v>
      </c>
      <c r="O5">
        <f>M5*K5</f>
        <v>0.8999932105735069</v>
      </c>
      <c r="P5" s="13">
        <f>O5*SQRT(((N5/M5)^2)+((L5/K5)^2))</f>
        <v>0.36016088486709397</v>
      </c>
      <c r="Q5">
        <f t="shared" si="6"/>
        <v>1.7999999999999998</v>
      </c>
      <c r="R5">
        <v>0.98829999999999973</v>
      </c>
      <c r="S5" s="10">
        <v>1.4142135623730951E-4</v>
      </c>
      <c r="T5" s="15">
        <f>M5/R5</f>
        <v>0.91066152931953182</v>
      </c>
      <c r="U5" s="13">
        <f t="shared" si="7"/>
        <v>0.36443017462233235</v>
      </c>
      <c r="V5" s="15">
        <f>SUM($T$2:T5)</f>
        <v>2.4113788752461258</v>
      </c>
      <c r="W5" s="13">
        <f>SQRT((U5^2)+(U4^2)+(U3^2)+(U2^2))</f>
        <v>0.64433377126723534</v>
      </c>
      <c r="X5">
        <f t="shared" si="8"/>
        <v>1.5000113157108218E-2</v>
      </c>
      <c r="Y5" s="13">
        <f t="shared" si="9"/>
        <v>6.0027719758942591E-3</v>
      </c>
      <c r="Z5" s="8">
        <f t="shared" si="10"/>
        <v>3.6033271394581469E-5</v>
      </c>
      <c r="AA5">
        <f>(C5-$AE$6)*24</f>
        <v>1034.3999999999651</v>
      </c>
      <c r="AB5" s="3">
        <f t="shared" si="11"/>
        <v>0.99716207834337856</v>
      </c>
      <c r="AC5">
        <f t="shared" si="12"/>
        <v>1.504280345480892E-2</v>
      </c>
    </row>
    <row r="6" spans="1:31" x14ac:dyDescent="0.25">
      <c r="A6" t="s">
        <v>14</v>
      </c>
      <c r="B6" s="1">
        <v>43258.625</v>
      </c>
      <c r="C6" s="1">
        <v>43299.622916666667</v>
      </c>
      <c r="D6" s="4">
        <v>18.59</v>
      </c>
      <c r="E6" s="9">
        <v>4.28</v>
      </c>
      <c r="F6" s="8">
        <f t="shared" si="0"/>
        <v>0.79565200000000003</v>
      </c>
      <c r="G6">
        <f t="shared" si="13"/>
        <v>11.870000000000001</v>
      </c>
      <c r="H6" s="8">
        <f t="shared" si="2"/>
        <v>0.92843411419443223</v>
      </c>
      <c r="I6" s="2">
        <f t="shared" si="3"/>
        <v>983.95000000001164</v>
      </c>
      <c r="J6" s="12">
        <f t="shared" si="4"/>
        <v>1.6666666666666666E-2</v>
      </c>
      <c r="K6" s="3">
        <f>1-EXP(-$AE$3*I6)</f>
        <v>0.99998500588705308</v>
      </c>
      <c r="L6" s="13">
        <f t="shared" si="5"/>
        <v>1.6938276096126857E-5</v>
      </c>
      <c r="M6">
        <f>G6/((1+K6))</f>
        <v>5.935044495363754</v>
      </c>
      <c r="N6" s="13">
        <f>M6*SQRT(((H6/G6)^2)+((L6/K6)^2))</f>
        <v>0.46422054827021741</v>
      </c>
      <c r="O6">
        <f>M6*K6</f>
        <v>5.9349555046362452</v>
      </c>
      <c r="P6" s="13">
        <f>O6*SQRT(((N6/M6)^2)+((L6/K6)^2))</f>
        <v>0.46421359858013728</v>
      </c>
      <c r="Q6">
        <f t="shared" si="6"/>
        <v>11.87</v>
      </c>
      <c r="R6">
        <v>0.96410000000000018</v>
      </c>
      <c r="S6" s="10">
        <v>1.4142135623730951E-4</v>
      </c>
      <c r="T6" s="15">
        <f>M6/R6</f>
        <v>6.1560465671234859</v>
      </c>
      <c r="U6" s="13">
        <f t="shared" si="7"/>
        <v>0.48150748327476955</v>
      </c>
      <c r="V6" s="15">
        <f>SUM($T$2:T6)</f>
        <v>8.5674254423696112</v>
      </c>
      <c r="W6" s="13">
        <f>SQRT((U6^2)+(U5^2)+(U4^2)+(U3^2)+(U2^2))</f>
        <v>0.80437271537830057</v>
      </c>
      <c r="X6">
        <f t="shared" si="8"/>
        <v>9.8917408256062572E-2</v>
      </c>
      <c r="Y6" s="13">
        <f t="shared" si="9"/>
        <v>7.7370091378369567E-3</v>
      </c>
      <c r="Z6" s="8">
        <f t="shared" si="10"/>
        <v>5.9861310398972565E-5</v>
      </c>
      <c r="AA6">
        <f>(C6-$AE$6)*24</f>
        <v>1034.9500000000116</v>
      </c>
      <c r="AB6" s="3">
        <f t="shared" si="11"/>
        <v>0.99716057153862148</v>
      </c>
      <c r="AC6">
        <f t="shared" si="12"/>
        <v>9.9199076938464123E-2</v>
      </c>
      <c r="AE6" s="1">
        <v>43256.5</v>
      </c>
    </row>
    <row r="7" spans="1:31" x14ac:dyDescent="0.25">
      <c r="A7" t="s">
        <v>15</v>
      </c>
      <c r="B7" s="1">
        <v>43258.625</v>
      </c>
      <c r="C7" s="1">
        <v>43299.645833391201</v>
      </c>
      <c r="D7" s="4">
        <v>211.24</v>
      </c>
      <c r="E7" s="9">
        <v>1.27</v>
      </c>
      <c r="F7" s="8">
        <f t="shared" si="0"/>
        <v>2.6827480000000001</v>
      </c>
      <c r="G7">
        <f t="shared" si="13"/>
        <v>204.52</v>
      </c>
      <c r="H7" s="8">
        <f t="shared" si="2"/>
        <v>2.7250806650079187</v>
      </c>
      <c r="I7" s="2">
        <f t="shared" si="3"/>
        <v>984.50000138883479</v>
      </c>
      <c r="J7" s="12">
        <f t="shared" si="4"/>
        <v>1.6666666666666666E-2</v>
      </c>
      <c r="K7" s="3">
        <f>1-EXP(-$AE$3*I7)</f>
        <v>0.99998509869690655</v>
      </c>
      <c r="L7" s="13">
        <f t="shared" si="5"/>
        <v>1.6928814919353763E-5</v>
      </c>
      <c r="M7">
        <f>G7/((1+K7))</f>
        <v>102.26076190930389</v>
      </c>
      <c r="N7" s="13">
        <f>M7*SQRT(((H7/G7)^2)+((L7/K7)^2))</f>
        <v>1.3625515841614744</v>
      </c>
      <c r="O7">
        <f>M7*K7</f>
        <v>102.25923809069612</v>
      </c>
      <c r="P7" s="13">
        <f>O7*SQRT(((N7/M7)^2)+((L7/K7)^2))</f>
        <v>1.3625323801187037</v>
      </c>
      <c r="Q7">
        <f t="shared" si="6"/>
        <v>204.52</v>
      </c>
      <c r="R7">
        <v>0.88759999999999994</v>
      </c>
      <c r="S7" s="10">
        <v>1.4142135623730951E-4</v>
      </c>
      <c r="T7" s="15">
        <f>M7/R7</f>
        <v>115.21041224572319</v>
      </c>
      <c r="U7" s="13">
        <f t="shared" si="7"/>
        <v>1.5352061702654369</v>
      </c>
      <c r="V7" s="15">
        <f>SUM($T$2:T7)</f>
        <v>123.7778376880928</v>
      </c>
      <c r="W7" s="13">
        <f>SQRT((U7^2)+(U6^2)+(U5^2)+(U4^2)+(U3^2)+(U2^2))</f>
        <v>1.7331686157053878</v>
      </c>
      <c r="X7">
        <f t="shared" si="8"/>
        <v>1.7043460318217316</v>
      </c>
      <c r="Y7" s="13">
        <f t="shared" si="9"/>
        <v>2.2709193069357904E-2</v>
      </c>
      <c r="Z7" s="8">
        <f t="shared" si="10"/>
        <v>5.157074498613731E-4</v>
      </c>
      <c r="AA7">
        <f>(C7-$AE$6)*24</f>
        <v>1035.5000013888348</v>
      </c>
      <c r="AB7" s="3">
        <f t="shared" si="11"/>
        <v>0.99715906473233662</v>
      </c>
      <c r="AC7">
        <f t="shared" si="12"/>
        <v>1.7092017633909014</v>
      </c>
    </row>
    <row r="8" spans="1:31" x14ac:dyDescent="0.25">
      <c r="A8" t="s">
        <v>16</v>
      </c>
      <c r="B8" s="1">
        <v>43258.625</v>
      </c>
      <c r="C8" s="1">
        <v>43299.668055555558</v>
      </c>
      <c r="D8" s="4">
        <v>708.06</v>
      </c>
      <c r="E8" s="9">
        <v>0.69</v>
      </c>
      <c r="F8" s="8">
        <f t="shared" si="0"/>
        <v>4.8856139999999995</v>
      </c>
      <c r="G8">
        <f t="shared" si="13"/>
        <v>701.33999999999992</v>
      </c>
      <c r="H8" s="8">
        <f t="shared" si="2"/>
        <v>4.9089868563983741</v>
      </c>
      <c r="I8" s="2">
        <f t="shared" si="3"/>
        <v>985.03333333338378</v>
      </c>
      <c r="J8" s="12">
        <f t="shared" si="4"/>
        <v>1.6666666666666666E-2</v>
      </c>
      <c r="K8" s="3">
        <f>1-EXP(-$AE$3*I8)</f>
        <v>0.99998518814522686</v>
      </c>
      <c r="L8" s="13">
        <f t="shared" si="5"/>
        <v>1.6919650572657027E-5</v>
      </c>
      <c r="M8">
        <f>G8/((1+K8))</f>
        <v>350.67259705579022</v>
      </c>
      <c r="N8" s="13">
        <f>M8*SQRT(((H8/G8)^2)+((L8/K8)^2))</f>
        <v>2.4545187775279227</v>
      </c>
      <c r="O8">
        <f>M8*K8</f>
        <v>350.6674029442097</v>
      </c>
      <c r="P8" s="13">
        <f>O8*SQRT(((N8/M8)^2)+((L8/K8)^2))</f>
        <v>2.4544895928190891</v>
      </c>
      <c r="Q8">
        <f t="shared" si="6"/>
        <v>701.33999999999992</v>
      </c>
      <c r="R8">
        <v>0.94209999999999994</v>
      </c>
      <c r="S8" s="10">
        <v>1.4142135623730951E-4</v>
      </c>
      <c r="T8" s="15">
        <f>M8/R8</f>
        <v>372.22438918988456</v>
      </c>
      <c r="U8" s="13">
        <f t="shared" si="7"/>
        <v>2.6059687780398404</v>
      </c>
      <c r="V8" s="15">
        <f>SUM($T$2:T8)</f>
        <v>496.00222687797736</v>
      </c>
      <c r="W8" s="13">
        <f>SQRT((U8^2)+(U7^2)+(U6^2)+(U5^2)+(U4^2)+(U3^2)+(U2^2))</f>
        <v>3.129687959299551</v>
      </c>
      <c r="X8">
        <f t="shared" si="8"/>
        <v>5.8445432842631702</v>
      </c>
      <c r="Y8" s="13">
        <f t="shared" si="9"/>
        <v>4.0908646292132041E-2</v>
      </c>
      <c r="Z8" s="8">
        <f t="shared" si="10"/>
        <v>1.6735173414547686E-3</v>
      </c>
      <c r="AA8">
        <f>(C8-$AE$6)*24</f>
        <v>1036.0333333333838</v>
      </c>
      <c r="AB8" s="3">
        <f t="shared" si="11"/>
        <v>0.99715760359651706</v>
      </c>
      <c r="AC8">
        <f t="shared" si="12"/>
        <v>5.8612031470083092</v>
      </c>
      <c r="AE8" t="s">
        <v>29</v>
      </c>
    </row>
    <row r="9" spans="1:31" x14ac:dyDescent="0.25">
      <c r="A9" t="s">
        <v>17</v>
      </c>
      <c r="B9" s="1">
        <v>43258.625</v>
      </c>
      <c r="C9" s="1">
        <v>43299.690972222219</v>
      </c>
      <c r="D9" s="4">
        <v>340.02</v>
      </c>
      <c r="E9" s="9">
        <v>1</v>
      </c>
      <c r="F9" s="8">
        <f t="shared" si="0"/>
        <v>3.4001999999999999</v>
      </c>
      <c r="G9">
        <f t="shared" si="13"/>
        <v>333.29999999999995</v>
      </c>
      <c r="H9" s="8">
        <f t="shared" si="2"/>
        <v>3.4336988568154894</v>
      </c>
      <c r="I9" s="2">
        <f t="shared" si="3"/>
        <v>985.58333333325572</v>
      </c>
      <c r="J9" s="12">
        <f t="shared" si="4"/>
        <v>1.6666666666666666E-2</v>
      </c>
      <c r="K9" s="3">
        <f>1-EXP(-$AE$3*I9)</f>
        <v>0.99998527982671637</v>
      </c>
      <c r="L9" s="13">
        <f t="shared" si="5"/>
        <v>1.6910210194077874E-5</v>
      </c>
      <c r="M9">
        <f>G9/((1+K9))</f>
        <v>166.65122656746647</v>
      </c>
      <c r="N9" s="13">
        <f>M9*SQRT(((H9/G9)^2)+((L9/K9)^2))</f>
        <v>1.7168643775893995</v>
      </c>
      <c r="O9">
        <f>M9*K9</f>
        <v>166.64877343253346</v>
      </c>
      <c r="P9" s="13">
        <f>O9*SQRT(((N9/M9)^2)+((L9/K9)^2))</f>
        <v>1.7168414179392013</v>
      </c>
      <c r="Q9">
        <f t="shared" si="6"/>
        <v>333.29999999999995</v>
      </c>
      <c r="R9">
        <v>0.86249999999999982</v>
      </c>
      <c r="S9" s="10">
        <v>1.4142135623730951E-4</v>
      </c>
      <c r="T9" s="15">
        <f>M9/R9</f>
        <v>193.21881341155537</v>
      </c>
      <c r="U9" s="13">
        <f t="shared" si="7"/>
        <v>1.9908194962696242</v>
      </c>
      <c r="V9" s="15">
        <f>SUM($T$2:T9)</f>
        <v>689.22104028953277</v>
      </c>
      <c r="W9" s="13">
        <f>SQRT((U9^2)+(U8^2)+(U7^2)+(U6^2)+(U5^2)+(U4^2)+(U3^2)+(U2^2))</f>
        <v>3.7092194582299696</v>
      </c>
      <c r="X9">
        <f t="shared" si="8"/>
        <v>2.7775204427911078</v>
      </c>
      <c r="Y9" s="13">
        <f t="shared" si="9"/>
        <v>2.8614406293156657E-2</v>
      </c>
      <c r="Z9" s="8">
        <f t="shared" si="10"/>
        <v>8.1878424750984327E-4</v>
      </c>
      <c r="AA9">
        <f>(C9-$AE$6)*24</f>
        <v>1036.5833333332557</v>
      </c>
      <c r="AB9" s="3">
        <f t="shared" si="11"/>
        <v>0.99715609679852213</v>
      </c>
      <c r="AC9">
        <f t="shared" si="12"/>
        <v>2.7854419701274842</v>
      </c>
      <c r="AE9">
        <f>LN(2)/252288</f>
        <v>2.7474441137110973E-6</v>
      </c>
    </row>
    <row r="10" spans="1:31" x14ac:dyDescent="0.25">
      <c r="A10" t="s">
        <v>18</v>
      </c>
      <c r="B10" s="1">
        <v>43258.625</v>
      </c>
      <c r="C10" s="1">
        <v>43299.713888888888</v>
      </c>
      <c r="D10" s="4">
        <v>112.52</v>
      </c>
      <c r="E10" s="9">
        <v>1.74</v>
      </c>
      <c r="F10" s="8">
        <f t="shared" si="0"/>
        <v>1.9578479999999998</v>
      </c>
      <c r="G10">
        <f t="shared" si="13"/>
        <v>105.8</v>
      </c>
      <c r="H10" s="8">
        <f t="shared" si="2"/>
        <v>2.0154643609848324</v>
      </c>
      <c r="I10" s="2">
        <f t="shared" si="3"/>
        <v>986.13333333330229</v>
      </c>
      <c r="J10" s="12">
        <f t="shared" si="4"/>
        <v>1.6666666666666666E-2</v>
      </c>
      <c r="K10" s="3">
        <f>1-EXP(-$AE$3*I10)</f>
        <v>0.99998537094072171</v>
      </c>
      <c r="L10" s="13">
        <f t="shared" si="5"/>
        <v>1.6900780336343181E-5</v>
      </c>
      <c r="M10">
        <f>G10/((1+K10))</f>
        <v>52.900386941448204</v>
      </c>
      <c r="N10" s="13">
        <f>M10*SQRT(((H10/G10)^2)+((L10/K10)^2))</f>
        <v>1.0077399482449456</v>
      </c>
      <c r="O10">
        <f>M10*K10</f>
        <v>52.899613058551793</v>
      </c>
      <c r="P10" s="13">
        <f>O10*SQRT(((N10/M10)^2)+((L10/K10)^2))</f>
        <v>1.0077256025632582</v>
      </c>
      <c r="Q10">
        <f t="shared" si="6"/>
        <v>105.8</v>
      </c>
      <c r="R10">
        <v>0.94460000000000033</v>
      </c>
      <c r="S10" s="10">
        <v>1.4142135623730951E-4</v>
      </c>
      <c r="T10" s="15">
        <f>M10/R10</f>
        <v>56.002950393233313</v>
      </c>
      <c r="U10" s="13">
        <f t="shared" si="7"/>
        <v>1.0668760006171878</v>
      </c>
      <c r="V10" s="15">
        <f>SUM($T$2:T10)</f>
        <v>745.22399068276604</v>
      </c>
      <c r="W10" s="13">
        <f>SQRT((U10^2)+(U9^2)+(U8^2)+(U7^2)+(U6^2)+(U5^2)+(U4^2)+(U3^2)+(U2^2))</f>
        <v>3.8596027502846395</v>
      </c>
      <c r="X10">
        <f t="shared" si="8"/>
        <v>0.88167311569080342</v>
      </c>
      <c r="Y10" s="13">
        <f t="shared" si="9"/>
        <v>1.679566580408243E-2</v>
      </c>
      <c r="Z10" s="8">
        <f t="shared" si="10"/>
        <v>2.8209438980242389E-4</v>
      </c>
      <c r="AA10">
        <f>(C10-$AE$6)*24</f>
        <v>1037.1333333333023</v>
      </c>
      <c r="AB10" s="3">
        <f t="shared" si="11"/>
        <v>0.99715459000280382</v>
      </c>
      <c r="AC10">
        <f t="shared" si="12"/>
        <v>0.88418899589914568</v>
      </c>
    </row>
    <row r="11" spans="1:31" x14ac:dyDescent="0.25">
      <c r="A11" t="s">
        <v>19</v>
      </c>
      <c r="B11" s="1">
        <v>43258.625</v>
      </c>
      <c r="C11" s="1">
        <v>43299.736805555556</v>
      </c>
      <c r="D11" s="4">
        <v>36.130000000000003</v>
      </c>
      <c r="E11" s="9">
        <v>3.07</v>
      </c>
      <c r="F11" s="8">
        <f t="shared" si="0"/>
        <v>1.109191</v>
      </c>
      <c r="G11">
        <f t="shared" si="13"/>
        <v>29.410000000000004</v>
      </c>
      <c r="H11" s="8">
        <f t="shared" si="2"/>
        <v>1.2079869509961603</v>
      </c>
      <c r="I11" s="2">
        <f t="shared" si="3"/>
        <v>986.68333333334886</v>
      </c>
      <c r="J11" s="12">
        <f t="shared" si="4"/>
        <v>1.6666666666666666E-2</v>
      </c>
      <c r="K11" s="3">
        <f>1-EXP(-$AE$3*I11)</f>
        <v>0.99998546149075518</v>
      </c>
      <c r="L11" s="13">
        <f t="shared" si="5"/>
        <v>1.6891360981921582E-5</v>
      </c>
      <c r="M11">
        <f>G11/((1+K11))</f>
        <v>14.705106895166274</v>
      </c>
      <c r="N11" s="13">
        <f>M11*SQRT(((H11/G11)^2)+((L11/K11)^2))</f>
        <v>0.60399791718788876</v>
      </c>
      <c r="O11">
        <f>M11*K11</f>
        <v>14.704893104833733</v>
      </c>
      <c r="P11" s="13">
        <f>O11*SQRT(((N11/M11)^2)+((L11/K11)^2))</f>
        <v>0.60398918703336724</v>
      </c>
      <c r="Q11">
        <f t="shared" si="6"/>
        <v>29.410000000000007</v>
      </c>
      <c r="R11">
        <v>0.89609999999999967</v>
      </c>
      <c r="S11" s="10">
        <v>1.4142135623730951E-4</v>
      </c>
      <c r="T11" s="15">
        <f>M11/R11</f>
        <v>16.410118173380514</v>
      </c>
      <c r="U11" s="13">
        <f t="shared" si="7"/>
        <v>0.67403456719481381</v>
      </c>
      <c r="V11" s="15">
        <f>SUM($T$2:T11)</f>
        <v>761.63410885614655</v>
      </c>
      <c r="W11" s="13">
        <f>SQRT((U11^2)+(U10^2)+(U9^2)+(U8^2)+(U7^2)+(U6^2)+(U5^2)+(U4^2)+(U3^2)+(U2^2))</f>
        <v>3.9180168437333518</v>
      </c>
      <c r="X11">
        <f t="shared" si="8"/>
        <v>0.24508511491943791</v>
      </c>
      <c r="Y11" s="13">
        <f t="shared" si="9"/>
        <v>1.0066631953131478E-2</v>
      </c>
      <c r="Z11" s="8">
        <f t="shared" si="10"/>
        <v>1.0133707887980767E-4</v>
      </c>
      <c r="AA11">
        <f>(C11-$AE$6)*24</f>
        <v>1037.6833333333489</v>
      </c>
      <c r="AB11" s="3">
        <f t="shared" si="11"/>
        <v>0.99715308320936225</v>
      </c>
      <c r="AC11">
        <f t="shared" si="12"/>
        <v>0.24578484391847369</v>
      </c>
    </row>
    <row r="12" spans="1:31" x14ac:dyDescent="0.25">
      <c r="A12" t="s">
        <v>20</v>
      </c>
      <c r="B12" s="1">
        <v>43258.625</v>
      </c>
      <c r="C12" s="1">
        <v>43299.759027777778</v>
      </c>
      <c r="D12" s="4">
        <v>19.38</v>
      </c>
      <c r="E12" s="9">
        <v>4.2</v>
      </c>
      <c r="F12" s="8">
        <f t="shared" si="0"/>
        <v>0.81396000000000002</v>
      </c>
      <c r="G12">
        <f t="shared" si="13"/>
        <v>12.66</v>
      </c>
      <c r="H12" s="8">
        <f t="shared" si="2"/>
        <v>0.9441708960225369</v>
      </c>
      <c r="I12" s="2">
        <f t="shared" si="3"/>
        <v>987.21666666667443</v>
      </c>
      <c r="J12" s="12">
        <f t="shared" si="4"/>
        <v>1.6666666666666666E-2</v>
      </c>
      <c r="K12" s="3">
        <f>1-EXP(-$AE$3*I12)</f>
        <v>0.99998554876155288</v>
      </c>
      <c r="L12" s="13">
        <f t="shared" si="5"/>
        <v>1.6882237076655665E-5</v>
      </c>
      <c r="M12">
        <f>G12/((1+K12))</f>
        <v>6.3300457385001749</v>
      </c>
      <c r="N12" s="13">
        <f>M12*SQRT(((H12/G12)^2)+((L12/K12)^2))</f>
        <v>0.47208887124134552</v>
      </c>
      <c r="O12">
        <f>M12*K12</f>
        <v>6.329954261499827</v>
      </c>
      <c r="P12" s="13">
        <f>O12*SQRT(((N12/M12)^2)+((L12/K12)^2))</f>
        <v>0.47208206106806505</v>
      </c>
      <c r="Q12">
        <f t="shared" si="6"/>
        <v>12.660000000000002</v>
      </c>
      <c r="R12">
        <v>0.9504999999999999</v>
      </c>
      <c r="S12" s="10">
        <v>1.4142135623730951E-4</v>
      </c>
      <c r="T12" s="15">
        <f>M12/R12</f>
        <v>6.659700934771358</v>
      </c>
      <c r="U12" s="13">
        <f t="shared" si="7"/>
        <v>0.4966752348410447</v>
      </c>
      <c r="V12" s="15">
        <f>SUM($T$2:T12)</f>
        <v>768.29380979091786</v>
      </c>
      <c r="W12" s="13">
        <f>SQRT((U12^2)+(U11^2)+(U10^2)+(U9^2)+(U8^2)+(U7^2)+(U6^2)+(U5^2)+(U4^2)+(U3^2)+(U2^2))</f>
        <v>3.9493723902264093</v>
      </c>
      <c r="X12">
        <f t="shared" si="8"/>
        <v>0.10550076230833624</v>
      </c>
      <c r="Y12" s="13">
        <f t="shared" si="9"/>
        <v>7.8681478540224246E-3</v>
      </c>
      <c r="Z12" s="8">
        <f t="shared" si="10"/>
        <v>6.1907750652757688E-5</v>
      </c>
      <c r="AA12">
        <f>(C12-$AE$6)*24</f>
        <v>1038.2166666666744</v>
      </c>
      <c r="AB12" s="3">
        <f t="shared" si="11"/>
        <v>0.99715162207850272</v>
      </c>
      <c r="AC12">
        <f t="shared" si="12"/>
        <v>0.10580212675021902</v>
      </c>
    </row>
    <row r="13" spans="1:31" x14ac:dyDescent="0.25">
      <c r="A13" t="s">
        <v>21</v>
      </c>
      <c r="B13" s="1">
        <v>43258.625</v>
      </c>
      <c r="C13" s="1">
        <v>43299.781944444447</v>
      </c>
      <c r="D13" s="4">
        <v>15.35</v>
      </c>
      <c r="E13" s="9">
        <v>4.71</v>
      </c>
      <c r="F13" s="8">
        <f t="shared" si="0"/>
        <v>0.72298499999999999</v>
      </c>
      <c r="G13">
        <f t="shared" si="13"/>
        <v>8.629999999999999</v>
      </c>
      <c r="H13" s="8">
        <f t="shared" si="2"/>
        <v>0.86696892073533982</v>
      </c>
      <c r="I13" s="2">
        <f t="shared" si="3"/>
        <v>987.76666666672099</v>
      </c>
      <c r="J13" s="12">
        <f t="shared" si="4"/>
        <v>1.6666666666666666E-2</v>
      </c>
      <c r="K13" s="3">
        <f>1-EXP(-$AE$3*I13)</f>
        <v>0.99998563821092223</v>
      </c>
      <c r="L13" s="13">
        <f t="shared" si="5"/>
        <v>1.6872838359445E-5</v>
      </c>
      <c r="M13">
        <f>G13/((1+K13))</f>
        <v>4.3150309857824407</v>
      </c>
      <c r="N13" s="13">
        <f>M13*SQRT(((H13/G13)^2)+((L13/K13)^2))</f>
        <v>0.4334875793105622</v>
      </c>
      <c r="O13">
        <f>M13*K13</f>
        <v>4.3149690142175592</v>
      </c>
      <c r="P13" s="13">
        <f>O13*SQRT(((N13/M13)^2)+((L13/K13)^2))</f>
        <v>0.43348135976763763</v>
      </c>
      <c r="Q13">
        <f t="shared" si="6"/>
        <v>8.629999999999999</v>
      </c>
      <c r="R13">
        <v>0.91220000000000034</v>
      </c>
      <c r="S13" s="10">
        <v>1.4142135623730951E-4</v>
      </c>
      <c r="T13" s="15">
        <f>M13/R13</f>
        <v>4.7303562659311984</v>
      </c>
      <c r="U13" s="13">
        <f t="shared" si="7"/>
        <v>0.47521168110281292</v>
      </c>
      <c r="V13" s="15">
        <f>SUM($T$2:T13)</f>
        <v>773.02416605684903</v>
      </c>
      <c r="W13" s="13">
        <f>SQRT((U13^2)+(U12^2)+(U11^2)+(U10^2)+(U9^2)+(U8^2)+(U7^2)+(U6^2)+(U5^2)+(U4^2)+(U3^2)+(U2^2))</f>
        <v>3.9778597786421814</v>
      </c>
      <c r="X13">
        <f t="shared" si="8"/>
        <v>7.1917183096374016E-2</v>
      </c>
      <c r="Y13" s="13">
        <f t="shared" si="9"/>
        <v>7.2247929885093706E-3</v>
      </c>
      <c r="Z13" s="8">
        <f t="shared" si="10"/>
        <v>5.2197633726814164E-5</v>
      </c>
      <c r="AA13">
        <f>(C13-$AE$6)*24</f>
        <v>1038.766666666721</v>
      </c>
      <c r="AB13" s="3">
        <f t="shared" si="11"/>
        <v>0.997150115289546</v>
      </c>
      <c r="AC13">
        <f t="shared" si="12"/>
        <v>7.2122724546334907E-2</v>
      </c>
    </row>
    <row r="14" spans="1:31" x14ac:dyDescent="0.25">
      <c r="A14" t="s">
        <v>22</v>
      </c>
      <c r="B14" s="1">
        <v>43258.625</v>
      </c>
      <c r="C14" s="1">
        <v>43299.804861111108</v>
      </c>
      <c r="D14" s="4">
        <v>12.21</v>
      </c>
      <c r="E14" s="9">
        <v>5.29</v>
      </c>
      <c r="F14" s="8">
        <f t="shared" si="0"/>
        <v>0.64590900000000007</v>
      </c>
      <c r="G14">
        <f t="shared" si="13"/>
        <v>5.4900000000000011</v>
      </c>
      <c r="H14" s="8">
        <f t="shared" si="2"/>
        <v>0.80381977804542737</v>
      </c>
      <c r="I14" s="2">
        <f t="shared" si="3"/>
        <v>988.31666666659294</v>
      </c>
      <c r="J14" s="12">
        <f t="shared" si="4"/>
        <v>1.6666666666666666E-2</v>
      </c>
      <c r="K14" s="3">
        <f>1-EXP(-$AE$3*I14)</f>
        <v>0.99998572710662337</v>
      </c>
      <c r="L14" s="13">
        <f t="shared" si="5"/>
        <v>1.6863450093706434E-5</v>
      </c>
      <c r="M14">
        <f>G14/((1+K14))</f>
        <v>2.7450195896859606</v>
      </c>
      <c r="N14" s="13">
        <f>M14*SQRT(((H14/G14)^2)+((L14/K14)^2))</f>
        <v>0.4019127599175209</v>
      </c>
      <c r="O14">
        <f>M14*K14</f>
        <v>2.7449804103140401</v>
      </c>
      <c r="P14" s="13">
        <f>O14*SQRT(((N14/M14)^2)+((L14/K14)^2))</f>
        <v>0.40190702612535556</v>
      </c>
      <c r="Q14">
        <f t="shared" si="6"/>
        <v>5.49</v>
      </c>
      <c r="R14">
        <v>0.90469999999999917</v>
      </c>
      <c r="S14" s="10">
        <v>1.4142135623730951E-4</v>
      </c>
      <c r="T14" s="15">
        <f>M14/R14</f>
        <v>3.0341766217375516</v>
      </c>
      <c r="U14" s="13">
        <f t="shared" si="7"/>
        <v>0.44425001545021181</v>
      </c>
      <c r="V14" s="15">
        <f>SUM($T$2:T14)</f>
        <v>776.05834267858654</v>
      </c>
      <c r="W14" s="13">
        <f>SQRT((U14^2)+(U13^2)+(U12^2)+(U11^2)+(U10^2)+(U9^2)+(U8^2)+(U7^2)+(U6^2)+(U5^2)+(U4^2)+(U3^2)+(U2^2))</f>
        <v>4.002589973350597</v>
      </c>
      <c r="X14">
        <f t="shared" si="8"/>
        <v>4.5750326494766007E-2</v>
      </c>
      <c r="Y14" s="13">
        <f t="shared" si="9"/>
        <v>6.6985459986253475E-3</v>
      </c>
      <c r="Z14" s="8">
        <f t="shared" si="10"/>
        <v>4.4870518495699652E-5</v>
      </c>
      <c r="AA14">
        <f>(C14-$AE$6)*24</f>
        <v>1039.3166666665929</v>
      </c>
      <c r="AB14" s="3">
        <f t="shared" si="11"/>
        <v>0.99714860850286668</v>
      </c>
      <c r="AC14">
        <f t="shared" si="12"/>
        <v>4.5881151620375031E-2</v>
      </c>
    </row>
    <row r="15" spans="1:31" x14ac:dyDescent="0.25">
      <c r="A15" t="s">
        <v>23</v>
      </c>
      <c r="B15" s="1">
        <v>43258.625</v>
      </c>
      <c r="C15" s="1">
        <v>43299.827777777777</v>
      </c>
      <c r="D15" s="4">
        <v>10.3</v>
      </c>
      <c r="E15" s="9">
        <v>5.75</v>
      </c>
      <c r="F15" s="8">
        <f t="shared" si="0"/>
        <v>0.59225000000000005</v>
      </c>
      <c r="G15">
        <f t="shared" si="13"/>
        <v>3.580000000000001</v>
      </c>
      <c r="H15" s="8">
        <f t="shared" si="2"/>
        <v>0.76137235423674277</v>
      </c>
      <c r="I15" s="2">
        <f t="shared" si="3"/>
        <v>988.8666666666395</v>
      </c>
      <c r="J15" s="12">
        <f t="shared" si="4"/>
        <v>1.6666666666666666E-2</v>
      </c>
      <c r="K15" s="3">
        <f>1-EXP(-$AE$3*I15)</f>
        <v>0.99998581545208354</v>
      </c>
      <c r="L15" s="13">
        <f t="shared" si="5"/>
        <v>1.6854072262052704E-5</v>
      </c>
      <c r="M15">
        <f>G15/((1+K15))</f>
        <v>1.7900126952604241</v>
      </c>
      <c r="N15" s="13">
        <f>M15*SQRT(((H15/G15)^2)+((L15/K15)^2))</f>
        <v>0.38068887826363768</v>
      </c>
      <c r="O15">
        <f>M15*K15</f>
        <v>1.7899873047395771</v>
      </c>
      <c r="P15" s="13">
        <f>O15*SQRT(((N15/M15)^2)+((L15/K15)^2))</f>
        <v>0.38068347955944304</v>
      </c>
      <c r="Q15">
        <f t="shared" si="6"/>
        <v>3.580000000000001</v>
      </c>
      <c r="R15">
        <v>0.93609999999999971</v>
      </c>
      <c r="S15" s="10">
        <v>1.4142135623730951E-4</v>
      </c>
      <c r="T15" s="15">
        <f>M15/R15</f>
        <v>1.9122024305741103</v>
      </c>
      <c r="U15" s="13">
        <f t="shared" si="7"/>
        <v>0.40667554140974688</v>
      </c>
      <c r="V15" s="15">
        <f>SUM($T$2:T15)</f>
        <v>777.97054510916064</v>
      </c>
      <c r="W15" s="13">
        <f>SQRT((U15^2)+(U14^2)+(U13^2)+(U12^2)+(U11^2)+(U10^2)+(U9^2)+(U8^2)+(U7^2)+(U6^2)+(U5^2)+(U4^2)+(U3^2)+(U2^2))</f>
        <v>4.023196675623459</v>
      </c>
      <c r="X15">
        <f t="shared" si="8"/>
        <v>2.9833544921007069E-2</v>
      </c>
      <c r="Y15" s="13">
        <f t="shared" si="9"/>
        <v>6.3448146377272953E-3</v>
      </c>
      <c r="Z15" s="8">
        <f t="shared" si="10"/>
        <v>4.0256672787118546E-5</v>
      </c>
      <c r="AA15">
        <f>(C15-$AE$6)*24</f>
        <v>1039.8666666666395</v>
      </c>
      <c r="AB15" s="3">
        <f t="shared" si="11"/>
        <v>0.99714710171846388</v>
      </c>
      <c r="AC15">
        <f t="shared" si="12"/>
        <v>2.991890050083134E-2</v>
      </c>
    </row>
    <row r="16" spans="1:31" x14ac:dyDescent="0.25">
      <c r="A16" t="s">
        <v>24</v>
      </c>
      <c r="B16" s="1">
        <v>43258.625</v>
      </c>
      <c r="C16" s="1">
        <v>43299.85</v>
      </c>
      <c r="D16" s="4">
        <v>9.0399999999999991</v>
      </c>
      <c r="E16" s="9">
        <v>6.14</v>
      </c>
      <c r="F16" s="8">
        <f t="shared" si="0"/>
        <v>0.55505599999999988</v>
      </c>
      <c r="G16">
        <f t="shared" si="13"/>
        <v>2.3199999999999994</v>
      </c>
      <c r="H16" s="8">
        <f t="shared" si="2"/>
        <v>0.73281304739476349</v>
      </c>
      <c r="I16" s="2">
        <f t="shared" si="3"/>
        <v>989.39999999996508</v>
      </c>
      <c r="J16" s="12">
        <f t="shared" si="4"/>
        <v>1.6666666666666666E-2</v>
      </c>
      <c r="K16" s="3">
        <f>1-EXP(-$AE$3*I16)</f>
        <v>0.99998590059814563</v>
      </c>
      <c r="L16" s="13">
        <f t="shared" si="5"/>
        <v>1.6844988555322768E-5</v>
      </c>
      <c r="M16">
        <f>G16/((1+K16))</f>
        <v>1.1600081777107256</v>
      </c>
      <c r="N16" s="13">
        <f>M16*SQRT(((H16/G16)^2)+((L16/K16)^2))</f>
        <v>0.36640910729305165</v>
      </c>
      <c r="O16">
        <f>M16*K16</f>
        <v>1.1599918222892738</v>
      </c>
      <c r="P16" s="13">
        <f>O16*SQRT(((N16/M16)^2)+((L16/K16)^2))</f>
        <v>0.36640394166484769</v>
      </c>
      <c r="Q16">
        <f t="shared" si="6"/>
        <v>2.3199999999999994</v>
      </c>
      <c r="R16">
        <v>0.87049999999999983</v>
      </c>
      <c r="S16" s="10">
        <v>1.4142135623730951E-4</v>
      </c>
      <c r="T16" s="15">
        <f>M16/R16</f>
        <v>1.3325768842168018</v>
      </c>
      <c r="U16" s="13">
        <f t="shared" si="7"/>
        <v>0.42091804222508999</v>
      </c>
      <c r="V16" s="15">
        <f>SUM($T$2:T16)</f>
        <v>779.30312199337743</v>
      </c>
      <c r="W16" s="13">
        <f>SQRT((U16^2)+(U15^2)+(U14^2)+(U13^2)+(U12^2)+(U11^2)+(U10^2)+(U9^2)+(U8^2)+(U7^2)+(U6^2)+(U5^2)+(U4^2)+(U3^2)+(U2^2))</f>
        <v>4.0451555580741578</v>
      </c>
      <c r="X16">
        <f t="shared" si="8"/>
        <v>1.9333469628512092E-2</v>
      </c>
      <c r="Y16" s="13">
        <f t="shared" si="9"/>
        <v>6.1068184548841936E-3</v>
      </c>
      <c r="Z16" s="8">
        <f t="shared" si="10"/>
        <v>3.729323164091417E-5</v>
      </c>
      <c r="AA16">
        <f>(C16-$AE$6)*24</f>
        <v>1040.3999999999651</v>
      </c>
      <c r="AB16" s="3">
        <f t="shared" si="11"/>
        <v>0.9971456405963689</v>
      </c>
      <c r="AC16">
        <f t="shared" si="12"/>
        <v>1.938881226713202E-2</v>
      </c>
    </row>
    <row r="17" spans="1:29" x14ac:dyDescent="0.25">
      <c r="A17" t="s">
        <v>25</v>
      </c>
      <c r="B17" s="1">
        <v>43258.625</v>
      </c>
      <c r="C17" s="1">
        <v>43299.872916666667</v>
      </c>
      <c r="D17" s="4">
        <v>6.72</v>
      </c>
      <c r="E17" s="9">
        <v>7.12</v>
      </c>
      <c r="F17" s="8">
        <f t="shared" si="0"/>
        <v>0.478464</v>
      </c>
      <c r="G17">
        <f t="shared" si="1"/>
        <v>0</v>
      </c>
      <c r="H17" s="8">
        <f t="shared" si="2"/>
        <v>0.6766502779072805</v>
      </c>
      <c r="I17" s="2">
        <f t="shared" si="3"/>
        <v>989.95000000001164</v>
      </c>
      <c r="J17" s="12">
        <f t="shared" si="4"/>
        <v>1.6666666666666666E-2</v>
      </c>
      <c r="K17" s="3">
        <f>1-EXP(-$AE$3*I17)</f>
        <v>0.99998598786973891</v>
      </c>
      <c r="L17" s="13">
        <f t="shared" si="5"/>
        <v>1.6835631224973099E-5</v>
      </c>
      <c r="M17">
        <f>G17/((1+K17))</f>
        <v>0</v>
      </c>
      <c r="N17" s="13" t="e">
        <f>M17*SQRT(((H17/G17)^2)+((L17/K17)^2))</f>
        <v>#DIV/0!</v>
      </c>
      <c r="O17">
        <f>M17*K17</f>
        <v>0</v>
      </c>
      <c r="P17" s="13" t="e">
        <f>O17*SQRT(((N17/M17)^2)+((L17/K17)^2))</f>
        <v>#DIV/0!</v>
      </c>
      <c r="Q17">
        <f t="shared" si="6"/>
        <v>0</v>
      </c>
      <c r="X17">
        <f t="shared" si="8"/>
        <v>0</v>
      </c>
    </row>
    <row r="18" spans="1:29" x14ac:dyDescent="0.25">
      <c r="C18" s="1"/>
    </row>
    <row r="22" spans="1:29" x14ac:dyDescent="0.25">
      <c r="Y22" s="16" t="s">
        <v>48</v>
      </c>
    </row>
    <row r="23" spans="1:29" x14ac:dyDescent="0.25">
      <c r="W23" t="s">
        <v>47</v>
      </c>
      <c r="X23" s="5">
        <f>SUM(X2:X16)</f>
        <v>11.868587686910745</v>
      </c>
      <c r="Y23" s="5">
        <f>SQRT(SUM(Z2:Z16))</f>
        <v>6.186723551766421E-2</v>
      </c>
      <c r="Z23" s="5"/>
      <c r="AA23" s="5"/>
      <c r="AB23" s="5"/>
      <c r="AC23">
        <f>SUM(AC2:AC16)</f>
        <v>11.902426122825261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CT8R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2021-06-15T16:28:17Z</dcterms:modified>
</cp:coreProperties>
</file>